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Můj disk\NASB\Faktury\"/>
    </mc:Choice>
  </mc:AlternateContent>
  <xr:revisionPtr revIDLastSave="0" documentId="13_ncr:1_{B410C167-FA28-4F1E-9F75-8BC7C9AD1AC0}" xr6:coauthVersionLast="47" xr6:coauthVersionMax="47" xr10:uidLastSave="{00000000-0000-0000-0000-000000000000}"/>
  <bookViews>
    <workbookView xWindow="34560" yWindow="90" windowWidth="22800" windowHeight="15315" activeTab="2" xr2:uid="{57D662CF-DCD5-4B87-A96A-CC95C6872F2F}"/>
  </bookViews>
  <sheets>
    <sheet name="2022" sheetId="1" r:id="rId1"/>
    <sheet name="2023" sheetId="2" r:id="rId2"/>
    <sheet name="2024" sheetId="5" r:id="rId3"/>
    <sheet name="Dum B" sheetId="3" r:id="rId4"/>
    <sheet name="Garaze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5" l="1"/>
  <c r="D17" i="5"/>
  <c r="H15" i="5"/>
  <c r="I14" i="5"/>
  <c r="I12" i="5"/>
  <c r="G4" i="5"/>
  <c r="G3" i="5"/>
  <c r="G2" i="5"/>
  <c r="G5" i="5" s="1"/>
  <c r="F2" i="5"/>
  <c r="E4" i="5"/>
  <c r="E3" i="5"/>
  <c r="E2" i="5"/>
  <c r="E5" i="5" s="1"/>
  <c r="C4" i="5"/>
  <c r="C3" i="5"/>
  <c r="C2" i="5"/>
  <c r="C5" i="5" s="1"/>
  <c r="F32" i="5"/>
  <c r="F31" i="5"/>
  <c r="F30" i="5"/>
  <c r="G32" i="5"/>
  <c r="I32" i="5" s="1"/>
  <c r="J32" i="5" s="1"/>
  <c r="G31" i="5"/>
  <c r="I31" i="5" s="1"/>
  <c r="J31" i="5" s="1"/>
  <c r="G30" i="5"/>
  <c r="I30" i="5" s="1"/>
  <c r="J30" i="5" s="1"/>
  <c r="F28" i="5"/>
  <c r="G28" i="5" s="1"/>
  <c r="I28" i="5" s="1"/>
  <c r="J28" i="5" s="1"/>
  <c r="F29" i="5"/>
  <c r="G29" i="5" s="1"/>
  <c r="I29" i="5" s="1"/>
  <c r="J29" i="5" s="1"/>
  <c r="F27" i="5"/>
  <c r="G27" i="5" s="1"/>
  <c r="I27" i="5" s="1"/>
  <c r="J27" i="5" s="1"/>
  <c r="G25" i="5"/>
  <c r="I25" i="5" s="1"/>
  <c r="J25" i="5" s="1"/>
  <c r="G26" i="5"/>
  <c r="I26" i="5" s="1"/>
  <c r="J26" i="5" s="1"/>
  <c r="G24" i="5"/>
  <c r="I24" i="5" s="1"/>
  <c r="J24" i="5" s="1"/>
  <c r="G15" i="5"/>
  <c r="D4" i="2"/>
  <c r="E4" i="2"/>
  <c r="F4" i="2"/>
  <c r="F14" i="2" s="1"/>
  <c r="G4" i="2"/>
  <c r="B4" i="2"/>
  <c r="C4" i="2"/>
  <c r="F5" i="5" l="1"/>
  <c r="F12" i="5" s="1"/>
  <c r="F4" i="5"/>
  <c r="B3" i="5"/>
  <c r="B4" i="5"/>
  <c r="D3" i="5"/>
  <c r="F3" i="5"/>
  <c r="B2" i="5"/>
  <c r="B5" i="5" s="1"/>
  <c r="D4" i="5"/>
  <c r="H4" i="2"/>
  <c r="M32" i="5"/>
  <c r="D2" i="5"/>
  <c r="D5" i="5" s="1"/>
  <c r="D9" i="5" s="1"/>
  <c r="D12" i="5" s="1"/>
  <c r="F9" i="5"/>
  <c r="F13" i="5" s="1"/>
  <c r="F14" i="5"/>
  <c r="F12" i="2"/>
  <c r="F9" i="2"/>
  <c r="F4" i="3"/>
  <c r="D5" i="3"/>
  <c r="D4" i="3"/>
  <c r="D8" i="5" l="1"/>
  <c r="I5" i="5"/>
  <c r="D14" i="5"/>
  <c r="D13" i="5"/>
  <c r="F15" i="5"/>
  <c r="B20" i="5"/>
  <c r="D18" i="5"/>
  <c r="D15" i="5"/>
  <c r="B6" i="4"/>
  <c r="B5" i="4"/>
  <c r="B7" i="4" s="1"/>
  <c r="B3" i="4"/>
  <c r="G15" i="2"/>
  <c r="B12" i="1"/>
  <c r="F12" i="1"/>
  <c r="F5" i="1"/>
  <c r="F10" i="1"/>
  <c r="F11" i="1"/>
  <c r="F9" i="1"/>
  <c r="B11" i="1"/>
  <c r="B10" i="1"/>
  <c r="B9" i="1"/>
  <c r="D11" i="1"/>
  <c r="D10" i="1"/>
  <c r="D9" i="1"/>
  <c r="D6" i="1"/>
  <c r="B6" i="1"/>
  <c r="E12" i="1"/>
  <c r="B5" i="1"/>
  <c r="C5" i="1"/>
  <c r="D5" i="1"/>
  <c r="E5" i="1"/>
  <c r="D20" i="5" l="1"/>
  <c r="I15" i="5"/>
  <c r="D9" i="2"/>
  <c r="D8" i="2"/>
  <c r="D5" i="4"/>
  <c r="E5" i="4" s="1"/>
  <c r="D6" i="4"/>
  <c r="D14" i="2"/>
  <c r="D13" i="2"/>
  <c r="D12" i="2"/>
  <c r="F13" i="2"/>
  <c r="D12" i="1"/>
  <c r="B20" i="2" l="1"/>
  <c r="D17" i="2"/>
  <c r="D18" i="2"/>
  <c r="D20" i="2" s="1"/>
  <c r="F15" i="2"/>
  <c r="H13" i="2"/>
  <c r="I13" i="2" s="1"/>
  <c r="D15" i="2"/>
  <c r="H12" i="2"/>
  <c r="K12" i="2" s="1"/>
  <c r="H14" i="2"/>
  <c r="K14" i="2" s="1"/>
  <c r="G4" i="3" l="1"/>
  <c r="H4" i="3"/>
  <c r="F5" i="4"/>
  <c r="H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6A5E955D-C86A-498B-925F-D344C41050AE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9" authorId="0" shapeId="0" xr:uid="{C5E6A506-6CE7-48E8-9A20-D25606D1414E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  <comment ref="A18" authorId="0" shapeId="0" xr:uid="{13DE84EA-B834-471D-AA66-0D613EB28656}">
      <text>
        <r>
          <rPr>
            <b/>
            <sz val="9"/>
            <color indexed="81"/>
            <rFont val="Tahoma"/>
            <family val="2"/>
            <charset val="238"/>
          </rPr>
          <t>Plna část elektromeru garaze + 30% z prefakturovaneho podilu elektromeru Diesel (provetravani garazi a spotreba garazovych vrat)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9" authorId="0" shapeId="0" xr:uid="{C714376E-F50D-44B5-BD3A-989FF715F63F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  <comment ref="A18" authorId="0" shapeId="0" xr:uid="{666019AE-84D3-440A-96F4-1EBBB79C6233}">
      <text>
        <r>
          <rPr>
            <b/>
            <sz val="9"/>
            <color indexed="81"/>
            <rFont val="Tahoma"/>
            <family val="2"/>
            <charset val="238"/>
          </rPr>
          <t>Plna část elektromeru garaze + 30% z prefakturovaneho podilu elektromeru Diesel (provetravani garazi a spotreba garazovych vrat)</t>
        </r>
      </text>
    </comment>
  </commentList>
</comments>
</file>

<file path=xl/sharedStrings.xml><?xml version="1.0" encoding="utf-8"?>
<sst xmlns="http://schemas.openxmlformats.org/spreadsheetml/2006/main" count="82" uniqueCount="53">
  <si>
    <t>Garaze</t>
  </si>
  <si>
    <t>Diesel</t>
  </si>
  <si>
    <t>Datum</t>
  </si>
  <si>
    <t>D - spotreba</t>
  </si>
  <si>
    <t>G - spotreba</t>
  </si>
  <si>
    <t>Dům A 3278</t>
  </si>
  <si>
    <t>Dům B 3279</t>
  </si>
  <si>
    <t>Dům C 3284</t>
  </si>
  <si>
    <t>Castka k prefakturaci</t>
  </si>
  <si>
    <t>Prefakturace celkem (garaze + diesel)</t>
  </si>
  <si>
    <t>01.02.2022</t>
  </si>
  <si>
    <t>01.09.2022</t>
  </si>
  <si>
    <t>01.12.2022</t>
  </si>
  <si>
    <t>31.12.2023</t>
  </si>
  <si>
    <t>Diesel (Kc)</t>
  </si>
  <si>
    <t>D - spotreba (kWh)</t>
  </si>
  <si>
    <t>Garaze (Kc)</t>
  </si>
  <si>
    <t>G - spotreba (kWh)</t>
  </si>
  <si>
    <t>za 2023 - dům</t>
  </si>
  <si>
    <t>za 2023 - dům + diesel (20%)</t>
  </si>
  <si>
    <t>za 2023 - garaze</t>
  </si>
  <si>
    <t>Regulovane platby bez DPH</t>
  </si>
  <si>
    <t>Obchodni cena bez DPH</t>
  </si>
  <si>
    <t>2023 - dům + diesel20 + diesel po prefakturaci</t>
  </si>
  <si>
    <t>20% z diesel na dům</t>
  </si>
  <si>
    <t>11.09.2023</t>
  </si>
  <si>
    <t>Dům B</t>
  </si>
  <si>
    <t>Garaze B</t>
  </si>
  <si>
    <t>B - spotreba</t>
  </si>
  <si>
    <t>08.02.2024</t>
  </si>
  <si>
    <t>Celkem 2023</t>
  </si>
  <si>
    <t>Celkem B (Dům + garaze)</t>
  </si>
  <si>
    <t>kontrolni soucty</t>
  </si>
  <si>
    <t>Faktury</t>
  </si>
  <si>
    <t>Od</t>
  </si>
  <si>
    <t>Do</t>
  </si>
  <si>
    <t>Spotreba</t>
  </si>
  <si>
    <t>Regulovane platby</t>
  </si>
  <si>
    <t>Obchodni cena</t>
  </si>
  <si>
    <t>Celkem s DPH</t>
  </si>
  <si>
    <t>Cena za kWh</t>
  </si>
  <si>
    <t>Odberne místo</t>
  </si>
  <si>
    <t>Dům</t>
  </si>
  <si>
    <t>Dan z elektriny</t>
  </si>
  <si>
    <t>Celkem</t>
  </si>
  <si>
    <t>11.09.2024</t>
  </si>
  <si>
    <t>31.12.2024</t>
  </si>
  <si>
    <t>Celkem 2024</t>
  </si>
  <si>
    <t>Nedoplatek za rok 2023</t>
  </si>
  <si>
    <t>Dům B (Kc)</t>
  </si>
  <si>
    <t>B - spotreba (kWh)</t>
  </si>
  <si>
    <t>Naklady Dům B</t>
  </si>
  <si>
    <t>Naklady Garaze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</si>
</sst>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17" fontId="0" fillId="0" borderId="0" xfId="0" quotePrefix="1" applyNumberFormat="1"/>
    <xf numFmtId="14" fontId="0" fillId="0" borderId="0" xfId="0" applyNumberFormat="1"/>
    <xf numFmtId="17" fontId="0" fillId="0" borderId="0" xfId="0" applyNumberFormat="1"/>
    <xf numFmtId="0" fontId="1" fillId="0" borderId="0" xfId="0" applyFont="1"/>
    <xf numFmtId="2" fontId="0" fillId="0" borderId="0" xfId="0" quotePrefix="1" applyNumberFormat="1"/>
    <xf numFmtId="17" fontId="1" fillId="0" borderId="0" xfId="0" applyNumberFormat="1" applyFont="1"/>
    <xf numFmtId="0" fontId="0" fillId="0" borderId="0" xfId="0" applyAlignment="1">
      <alignment horizontal="center"/>
    </xf>
    <xf numFmtId="14" fontId="0" fillId="0" borderId="1" xfId="0" applyNumberFormat="1" applyBorder="1"/>
    <xf numFmtId="14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4" xfId="0" applyNumberFormat="1" applyBorder="1"/>
    <xf numFmtId="14" fontId="0" fillId="0" borderId="0" xfId="0" applyNumberFormat="1" applyBorder="1"/>
    <xf numFmtId="0" fontId="0" fillId="0" borderId="0" xfId="0" applyBorder="1"/>
    <xf numFmtId="0" fontId="0" fillId="0" borderId="5" xfId="0" applyBorder="1" applyAlignment="1">
      <alignment horizontal="center"/>
    </xf>
    <xf numFmtId="14" fontId="0" fillId="0" borderId="6" xfId="0" applyNumberFormat="1" applyBorder="1"/>
    <xf numFmtId="14" fontId="0" fillId="0" borderId="7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2" fontId="0" fillId="0" borderId="2" xfId="0" applyNumberFormat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84B2-9DDB-43C0-85A8-81C6418333D0}">
  <dimension ref="A1:F12"/>
  <sheetViews>
    <sheetView workbookViewId="0">
      <selection activeCell="C6" sqref="C6"/>
    </sheetView>
  </sheetViews>
  <sheetFormatPr defaultRowHeight="15" x14ac:dyDescent="0.25"/>
  <cols>
    <col min="1" max="1" width="19.5703125" bestFit="1" customWidth="1"/>
    <col min="2" max="2" width="9.5703125" bestFit="1" customWidth="1"/>
    <col min="3" max="3" width="11.85546875" bestFit="1" customWidth="1"/>
    <col min="4" max="4" width="9.28515625" bestFit="1" customWidth="1"/>
    <col min="5" max="5" width="11.85546875" bestFit="1" customWidth="1"/>
    <col min="6" max="6" width="34.85546875" bestFit="1" customWidth="1"/>
  </cols>
  <sheetData>
    <row r="1" spans="1:6" x14ac:dyDescent="0.25">
      <c r="A1" t="s">
        <v>2</v>
      </c>
      <c r="B1" t="s">
        <v>1</v>
      </c>
      <c r="C1" t="s">
        <v>3</v>
      </c>
      <c r="D1" t="s">
        <v>0</v>
      </c>
      <c r="E1" t="s">
        <v>4</v>
      </c>
    </row>
    <row r="2" spans="1:6" x14ac:dyDescent="0.25">
      <c r="A2" s="5" t="s">
        <v>10</v>
      </c>
      <c r="B2" s="3">
        <v>22751.06</v>
      </c>
      <c r="C2" s="3">
        <v>3577</v>
      </c>
      <c r="D2" s="3">
        <v>8649.42</v>
      </c>
      <c r="E2" s="3">
        <v>1326</v>
      </c>
    </row>
    <row r="3" spans="1:6" x14ac:dyDescent="0.25">
      <c r="A3" s="5" t="s">
        <v>11</v>
      </c>
      <c r="B3" s="3">
        <v>71935.31</v>
      </c>
      <c r="C3" s="3">
        <v>10005</v>
      </c>
      <c r="D3" s="3">
        <v>25794.1</v>
      </c>
      <c r="E3" s="3">
        <v>3385</v>
      </c>
    </row>
    <row r="4" spans="1:6" x14ac:dyDescent="0.25">
      <c r="A4" s="5" t="s">
        <v>12</v>
      </c>
      <c r="B4" s="3">
        <v>50468.06</v>
      </c>
      <c r="C4" s="3">
        <v>5557</v>
      </c>
      <c r="D4" s="3">
        <v>19051.68</v>
      </c>
      <c r="E4" s="3">
        <v>2008</v>
      </c>
    </row>
    <row r="5" spans="1:6" x14ac:dyDescent="0.25">
      <c r="B5" s="3">
        <f>SUM(B2:B4)</f>
        <v>145154.43</v>
      </c>
      <c r="C5" s="3">
        <f>SUM(C2:C4)</f>
        <v>19139</v>
      </c>
      <c r="D5" s="3">
        <f>SUM(D2:D4)</f>
        <v>53495.199999999997</v>
      </c>
      <c r="E5" s="3">
        <f>SUM(E2:E4)</f>
        <v>6719</v>
      </c>
      <c r="F5" s="1">
        <f>B5+D5</f>
        <v>198649.63</v>
      </c>
    </row>
    <row r="6" spans="1:6" x14ac:dyDescent="0.25">
      <c r="A6" t="s">
        <v>8</v>
      </c>
      <c r="B6" s="4">
        <f>B5/100*80</f>
        <v>116123.54399999999</v>
      </c>
      <c r="C6" s="3"/>
      <c r="D6" s="4">
        <f>D5</f>
        <v>53495.199999999997</v>
      </c>
      <c r="E6" s="3"/>
    </row>
    <row r="7" spans="1:6" x14ac:dyDescent="0.25">
      <c r="B7" s="3"/>
      <c r="C7" s="3"/>
      <c r="D7" s="3"/>
      <c r="E7" s="3"/>
    </row>
    <row r="8" spans="1:6" x14ac:dyDescent="0.25">
      <c r="B8" s="3"/>
      <c r="C8" s="3"/>
      <c r="D8" s="3"/>
      <c r="E8" s="3"/>
      <c r="F8" t="s">
        <v>9</v>
      </c>
    </row>
    <row r="9" spans="1:6" x14ac:dyDescent="0.25">
      <c r="A9" t="s">
        <v>5</v>
      </c>
      <c r="B9" s="4">
        <f>B6/100*C9</f>
        <v>28937.987164800001</v>
      </c>
      <c r="C9" s="3">
        <v>24.92</v>
      </c>
      <c r="D9" s="4">
        <f>D6/100*E9</f>
        <v>12940.488880000001</v>
      </c>
      <c r="E9" s="3">
        <v>24.19</v>
      </c>
      <c r="F9" s="2">
        <f>B9+D9</f>
        <v>41878.476044800002</v>
      </c>
    </row>
    <row r="10" spans="1:6" x14ac:dyDescent="0.25">
      <c r="A10" t="s">
        <v>6</v>
      </c>
      <c r="B10" s="3">
        <f>B6/100*C10</f>
        <v>49840.225084799997</v>
      </c>
      <c r="C10" s="3">
        <v>42.92</v>
      </c>
      <c r="D10" s="3">
        <f>D6/100*E10</f>
        <v>22965.48936</v>
      </c>
      <c r="E10" s="3">
        <v>42.93</v>
      </c>
      <c r="F10" s="1">
        <f>B10+D10+(B5-B6)</f>
        <v>101836.60044479999</v>
      </c>
    </row>
    <row r="11" spans="1:6" x14ac:dyDescent="0.25">
      <c r="A11" t="s">
        <v>7</v>
      </c>
      <c r="B11" s="4">
        <f>B6/100*C11</f>
        <v>37345.331750399993</v>
      </c>
      <c r="C11" s="3">
        <v>32.159999999999997</v>
      </c>
      <c r="D11" s="4">
        <f>D6/100*E11</f>
        <v>17589.22176</v>
      </c>
      <c r="E11" s="3">
        <v>32.880000000000003</v>
      </c>
      <c r="F11" s="2">
        <f t="shared" ref="F11" si="0">B11+D11</f>
        <v>54934.553510399994</v>
      </c>
    </row>
    <row r="12" spans="1:6" x14ac:dyDescent="0.25">
      <c r="B12" s="3">
        <f>SUM(B9:B11)</f>
        <v>116123.54399999999</v>
      </c>
      <c r="C12" s="3"/>
      <c r="D12" s="3">
        <f>SUM(D9:D11)</f>
        <v>53495.199999999997</v>
      </c>
      <c r="E12" s="3">
        <f>SUM(E9:E11)</f>
        <v>100</v>
      </c>
      <c r="F12" s="1">
        <f>SUM(F9:F11)</f>
        <v>198649.63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F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4118-AA2B-444B-BE4F-B802038E1D77}">
  <dimension ref="A1:K20"/>
  <sheetViews>
    <sheetView workbookViewId="0">
      <selection activeCell="H15" sqref="H15"/>
    </sheetView>
  </sheetViews>
  <sheetFormatPr defaultRowHeight="15" x14ac:dyDescent="0.25"/>
  <cols>
    <col min="1" max="1" width="23.28515625" bestFit="1" customWidth="1"/>
    <col min="2" max="3" width="19.5703125" customWidth="1"/>
    <col min="4" max="4" width="10.42578125" style="8" bestFit="1" customWidth="1"/>
    <col min="5" max="5" width="17.85546875" bestFit="1" customWidth="1"/>
    <col min="6" max="6" width="10.85546875" style="8" bestFit="1" customWidth="1"/>
    <col min="7" max="7" width="17.85546875" bestFit="1" customWidth="1"/>
    <col min="8" max="8" width="34.85546875" bestFit="1" customWidth="1"/>
  </cols>
  <sheetData>
    <row r="1" spans="1:11" x14ac:dyDescent="0.25">
      <c r="A1" t="s">
        <v>2</v>
      </c>
      <c r="B1" t="s">
        <v>26</v>
      </c>
      <c r="C1" t="s">
        <v>28</v>
      </c>
      <c r="D1" s="8" t="s">
        <v>14</v>
      </c>
      <c r="E1" t="s">
        <v>15</v>
      </c>
      <c r="F1" s="8" t="s">
        <v>16</v>
      </c>
      <c r="G1" t="s">
        <v>17</v>
      </c>
    </row>
    <row r="2" spans="1:11" x14ac:dyDescent="0.25">
      <c r="A2" s="5" t="s">
        <v>25</v>
      </c>
      <c r="B2" s="9">
        <v>74510.539999999994</v>
      </c>
      <c r="C2" s="9">
        <v>9026</v>
      </c>
      <c r="D2" s="4">
        <v>103201.02</v>
      </c>
      <c r="E2" s="3">
        <v>12704</v>
      </c>
      <c r="F2" s="4">
        <v>39766.74</v>
      </c>
      <c r="G2" s="3">
        <v>4572</v>
      </c>
      <c r="H2" s="3"/>
      <c r="I2" s="3"/>
    </row>
    <row r="3" spans="1:11" x14ac:dyDescent="0.25">
      <c r="A3" s="5" t="s">
        <v>13</v>
      </c>
      <c r="B3" s="9">
        <v>32860.25</v>
      </c>
      <c r="C3" s="9">
        <v>3982</v>
      </c>
      <c r="D3" s="4">
        <v>53804.800000000003</v>
      </c>
      <c r="E3" s="3">
        <v>6667</v>
      </c>
      <c r="F3" s="4">
        <v>16806.66</v>
      </c>
      <c r="G3" s="3">
        <v>1924</v>
      </c>
      <c r="H3" s="3"/>
      <c r="I3" s="3"/>
    </row>
    <row r="4" spans="1:11" x14ac:dyDescent="0.25">
      <c r="A4" s="10" t="s">
        <v>30</v>
      </c>
      <c r="B4" s="4">
        <f t="shared" ref="B4:G4" si="0">SUM(B2:B3)</f>
        <v>107370.79</v>
      </c>
      <c r="C4" s="4">
        <f t="shared" si="0"/>
        <v>13008</v>
      </c>
      <c r="D4" s="4">
        <f t="shared" si="0"/>
        <v>157005.82</v>
      </c>
      <c r="E4" s="4">
        <f t="shared" si="0"/>
        <v>19371</v>
      </c>
      <c r="F4" s="4">
        <f t="shared" si="0"/>
        <v>56573.399999999994</v>
      </c>
      <c r="G4" s="4">
        <f t="shared" si="0"/>
        <v>6496</v>
      </c>
      <c r="H4" s="4">
        <f>D4+F4+B4</f>
        <v>320950.01</v>
      </c>
      <c r="I4" s="3"/>
    </row>
    <row r="5" spans="1:11" x14ac:dyDescent="0.25">
      <c r="A5" s="5" t="s">
        <v>29</v>
      </c>
      <c r="B5" s="9">
        <v>12820.39</v>
      </c>
      <c r="C5" s="9">
        <v>1652</v>
      </c>
      <c r="D5" s="4">
        <v>15495.34</v>
      </c>
      <c r="E5" s="3">
        <v>2016</v>
      </c>
      <c r="F5" s="4">
        <v>5427.47</v>
      </c>
      <c r="G5" s="3">
        <v>646</v>
      </c>
      <c r="H5" s="3"/>
      <c r="I5" s="3"/>
    </row>
    <row r="6" spans="1:11" x14ac:dyDescent="0.25">
      <c r="A6" s="5"/>
      <c r="B6" s="9"/>
      <c r="C6" s="9"/>
      <c r="D6" s="4"/>
      <c r="E6" s="3"/>
      <c r="F6" s="4"/>
      <c r="G6" s="3"/>
      <c r="H6" s="3"/>
      <c r="I6" s="3"/>
    </row>
    <row r="7" spans="1:11" s="8" customFormat="1" x14ac:dyDescent="0.25">
      <c r="I7" s="4"/>
    </row>
    <row r="8" spans="1:11" x14ac:dyDescent="0.25">
      <c r="A8" s="7" t="s">
        <v>24</v>
      </c>
      <c r="B8" s="3"/>
      <c r="C8" s="3"/>
      <c r="D8" s="4">
        <f>D4/100*20</f>
        <v>31401.164000000004</v>
      </c>
      <c r="E8" s="3"/>
      <c r="F8" s="4"/>
      <c r="G8" s="3"/>
      <c r="H8" s="3"/>
      <c r="I8" s="3"/>
    </row>
    <row r="9" spans="1:11" x14ac:dyDescent="0.25">
      <c r="A9" t="s">
        <v>8</v>
      </c>
      <c r="B9" s="3"/>
      <c r="C9" s="3"/>
      <c r="D9" s="4">
        <f>D4/100*80</f>
        <v>125604.65600000002</v>
      </c>
      <c r="E9" s="3"/>
      <c r="F9" s="4">
        <f>F4</f>
        <v>56573.399999999994</v>
      </c>
      <c r="G9" s="3"/>
      <c r="H9" s="3"/>
      <c r="I9" s="3"/>
    </row>
    <row r="10" spans="1:11" x14ac:dyDescent="0.25">
      <c r="B10" s="3"/>
      <c r="C10" s="3"/>
      <c r="D10" s="4"/>
      <c r="E10" s="3"/>
      <c r="F10" s="4"/>
      <c r="G10" s="3"/>
      <c r="H10" s="3"/>
      <c r="I10" s="3"/>
    </row>
    <row r="11" spans="1:11" x14ac:dyDescent="0.25">
      <c r="B11" s="3"/>
      <c r="C11" s="3"/>
      <c r="D11" s="4"/>
      <c r="E11" s="3"/>
      <c r="F11" s="4"/>
      <c r="G11" s="3"/>
      <c r="H11" s="3" t="s">
        <v>9</v>
      </c>
      <c r="I11" s="3"/>
    </row>
    <row r="12" spans="1:11" x14ac:dyDescent="0.25">
      <c r="A12" t="s">
        <v>5</v>
      </c>
      <c r="B12" s="3"/>
      <c r="C12" s="3"/>
      <c r="D12" s="4">
        <f>D9/100*E12</f>
        <v>31300.680275200008</v>
      </c>
      <c r="E12" s="3">
        <v>24.92</v>
      </c>
      <c r="F12" s="4">
        <f>F4/100*G12</f>
        <v>13685.105459999999</v>
      </c>
      <c r="G12" s="3">
        <v>24.19</v>
      </c>
      <c r="H12" s="4">
        <f>D12+F12</f>
        <v>44985.785735200006</v>
      </c>
      <c r="I12" s="3"/>
      <c r="J12">
        <v>41364</v>
      </c>
      <c r="K12" s="3">
        <f>H12-J12</f>
        <v>3621.7857352000065</v>
      </c>
    </row>
    <row r="13" spans="1:11" x14ac:dyDescent="0.25">
      <c r="A13" t="s">
        <v>6</v>
      </c>
      <c r="B13" s="3"/>
      <c r="C13" s="3"/>
      <c r="D13" s="4">
        <f>D9/100*E13</f>
        <v>53909.518355200009</v>
      </c>
      <c r="E13" s="3">
        <v>42.92</v>
      </c>
      <c r="F13" s="4">
        <f>F9/100*G13</f>
        <v>24286.960619999998</v>
      </c>
      <c r="G13" s="3">
        <v>42.93</v>
      </c>
      <c r="H13" s="3">
        <f>D13+F13+(D4-D9)</f>
        <v>109597.6429752</v>
      </c>
      <c r="I13" s="3">
        <f>H13-D13-F13</f>
        <v>31401.16399999999</v>
      </c>
    </row>
    <row r="14" spans="1:11" x14ac:dyDescent="0.25">
      <c r="A14" t="s">
        <v>7</v>
      </c>
      <c r="B14" s="3"/>
      <c r="C14" s="3"/>
      <c r="D14" s="4">
        <f>D9/100*E14</f>
        <v>40394.457369600001</v>
      </c>
      <c r="E14" s="3">
        <v>32.159999999999997</v>
      </c>
      <c r="F14" s="4">
        <f>F4/100*G14</f>
        <v>18601.333919999997</v>
      </c>
      <c r="G14" s="3">
        <v>32.880000000000003</v>
      </c>
      <c r="H14" s="4">
        <f t="shared" ref="H14" si="1">D14+F14</f>
        <v>58995.791289599998</v>
      </c>
      <c r="I14" s="3"/>
      <c r="J14">
        <v>54247</v>
      </c>
      <c r="K14" s="3">
        <f>H14-J14</f>
        <v>4748.791289599998</v>
      </c>
    </row>
    <row r="15" spans="1:11" x14ac:dyDescent="0.25">
      <c r="A15" t="s">
        <v>32</v>
      </c>
      <c r="B15" s="3"/>
      <c r="C15" s="3"/>
      <c r="D15" s="4">
        <f>SUM(D12:D14)</f>
        <v>125604.65600000002</v>
      </c>
      <c r="E15" s="3"/>
      <c r="F15" s="4">
        <f>SUM(F12:F14)</f>
        <v>56573.399999999994</v>
      </c>
      <c r="G15" s="3">
        <f>SUM(G12:G14)</f>
        <v>100</v>
      </c>
      <c r="H15" s="3">
        <f>SUM(H12:H14)</f>
        <v>213579.22</v>
      </c>
      <c r="I15" s="3"/>
    </row>
    <row r="16" spans="1:11" x14ac:dyDescent="0.25">
      <c r="B16" s="3"/>
      <c r="C16" s="3"/>
      <c r="D16" s="4"/>
      <c r="E16" s="3"/>
      <c r="F16" s="4"/>
      <c r="G16" s="3"/>
      <c r="H16" s="3"/>
      <c r="I16" s="3"/>
    </row>
    <row r="17" spans="1:9" x14ac:dyDescent="0.25">
      <c r="A17" t="s">
        <v>26</v>
      </c>
      <c r="B17" s="3"/>
      <c r="C17" s="3"/>
      <c r="D17" s="4">
        <f>B4+D8+(D13/100*70)</f>
        <v>176508.61684864</v>
      </c>
      <c r="E17" s="3"/>
      <c r="F17" s="4"/>
      <c r="G17" s="3"/>
      <c r="H17" s="3"/>
      <c r="I17" s="3"/>
    </row>
    <row r="18" spans="1:9" x14ac:dyDescent="0.25">
      <c r="A18" t="s">
        <v>27</v>
      </c>
      <c r="B18" s="3"/>
      <c r="C18" s="3"/>
      <c r="D18" s="4">
        <f>(D13/100*30)+F13</f>
        <v>40459.816126559999</v>
      </c>
      <c r="E18" s="3"/>
      <c r="F18" s="4"/>
      <c r="G18" s="3"/>
      <c r="H18" s="3"/>
      <c r="I18" s="3"/>
    </row>
    <row r="20" spans="1:9" x14ac:dyDescent="0.25">
      <c r="A20" t="s">
        <v>31</v>
      </c>
      <c r="B20" s="4">
        <f>B4+D8+D13+F13</f>
        <v>216968.4329752</v>
      </c>
      <c r="D20" s="4">
        <f>SUM(D17:D18)</f>
        <v>216968.4329752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5763-5656-4FFB-9B3E-E9CDBD33AA00}">
  <dimension ref="A1:M33"/>
  <sheetViews>
    <sheetView tabSelected="1" workbookViewId="0">
      <selection activeCell="C16" sqref="C16"/>
    </sheetView>
  </sheetViews>
  <sheetFormatPr defaultRowHeight="15" x14ac:dyDescent="0.25"/>
  <cols>
    <col min="1" max="1" width="23.28515625" bestFit="1" customWidth="1"/>
    <col min="2" max="2" width="10.5703125" bestFit="1" customWidth="1"/>
    <col min="3" max="4" width="17.7109375" bestFit="1" customWidth="1"/>
    <col min="5" max="5" width="17.85546875" bestFit="1" customWidth="1"/>
    <col min="6" max="6" width="14.28515625" bestFit="1" customWidth="1"/>
    <col min="7" max="7" width="17.85546875" bestFit="1" customWidth="1"/>
    <col min="8" max="8" width="21.85546875" bestFit="1" customWidth="1"/>
    <col min="9" max="9" width="34.85546875" bestFit="1" customWidth="1"/>
    <col min="10" max="10" width="16.28515625" bestFit="1" customWidth="1"/>
    <col min="11" max="11" width="14.28515625" bestFit="1" customWidth="1"/>
    <col min="13" max="13" width="9.5703125" bestFit="1" customWidth="1"/>
  </cols>
  <sheetData>
    <row r="1" spans="1:10" s="11" customFormat="1" x14ac:dyDescent="0.25">
      <c r="A1" s="11" t="s">
        <v>2</v>
      </c>
      <c r="B1" s="11" t="s">
        <v>49</v>
      </c>
      <c r="C1" s="11" t="s">
        <v>50</v>
      </c>
      <c r="D1" s="29" t="s">
        <v>14</v>
      </c>
      <c r="E1" s="11" t="s">
        <v>15</v>
      </c>
      <c r="F1" s="29" t="s">
        <v>16</v>
      </c>
      <c r="G1" s="11" t="s">
        <v>17</v>
      </c>
    </row>
    <row r="2" spans="1:10" x14ac:dyDescent="0.25">
      <c r="A2" s="5" t="s">
        <v>29</v>
      </c>
      <c r="B2" s="9">
        <f>I25</f>
        <v>12820.3856</v>
      </c>
      <c r="C2" s="9">
        <f>C25</f>
        <v>1652</v>
      </c>
      <c r="D2" s="4">
        <f>I24</f>
        <v>15495.3447</v>
      </c>
      <c r="E2" s="3">
        <f>C24</f>
        <v>2016</v>
      </c>
      <c r="F2" s="4">
        <f>I26</f>
        <v>5427.4670999999998</v>
      </c>
      <c r="G2" s="3">
        <f>C26</f>
        <v>646</v>
      </c>
      <c r="H2" s="3"/>
      <c r="I2" s="3"/>
      <c r="J2" s="3"/>
    </row>
    <row r="3" spans="1:10" x14ac:dyDescent="0.25">
      <c r="A3" s="5" t="s">
        <v>45</v>
      </c>
      <c r="B3" s="9">
        <f>I28</f>
        <v>43317.795510000004</v>
      </c>
      <c r="C3" s="9">
        <f>C28</f>
        <v>7770</v>
      </c>
      <c r="D3" s="4">
        <f>I27</f>
        <v>60808.653455</v>
      </c>
      <c r="E3" s="3">
        <f>C27</f>
        <v>11185</v>
      </c>
      <c r="F3" s="4">
        <f>I29</f>
        <v>22750.575121999998</v>
      </c>
      <c r="G3" s="3">
        <f>C29</f>
        <v>3754</v>
      </c>
      <c r="H3" s="3"/>
      <c r="I3" s="3"/>
      <c r="J3" s="3"/>
    </row>
    <row r="4" spans="1:10" x14ac:dyDescent="0.25">
      <c r="A4" s="5" t="s">
        <v>46</v>
      </c>
      <c r="B4" s="9">
        <f>I31</f>
        <v>29240.902954999998</v>
      </c>
      <c r="C4" s="9">
        <f>C31</f>
        <v>4185</v>
      </c>
      <c r="D4" s="4">
        <f>I30</f>
        <v>38315.873309999995</v>
      </c>
      <c r="E4" s="3">
        <f>C30</f>
        <v>5570</v>
      </c>
      <c r="F4" s="4">
        <f>I32</f>
        <v>15310.698337000002</v>
      </c>
      <c r="G4" s="3">
        <f>C32</f>
        <v>2059</v>
      </c>
      <c r="H4" s="3"/>
      <c r="I4" s="3"/>
      <c r="J4" s="3"/>
    </row>
    <row r="5" spans="1:10" x14ac:dyDescent="0.25">
      <c r="A5" s="10" t="s">
        <v>47</v>
      </c>
      <c r="B5" s="4">
        <f>SUM(B2:B4)</f>
        <v>85379.084065000003</v>
      </c>
      <c r="C5" s="4">
        <f>SUM(C2:C4)</f>
        <v>13607</v>
      </c>
      <c r="D5" s="4">
        <f>SUM(D2:D4)</f>
        <v>114619.87146499999</v>
      </c>
      <c r="E5" s="4">
        <f>SUM(E2:E4)</f>
        <v>18771</v>
      </c>
      <c r="F5" s="4">
        <f>SUM(F2:F4)</f>
        <v>43488.740558999998</v>
      </c>
      <c r="G5" s="4">
        <f>SUM(G2:G4)</f>
        <v>6459</v>
      </c>
      <c r="H5" s="4"/>
      <c r="I5" s="4">
        <f>D5+F5+B5</f>
        <v>243487.69608899998</v>
      </c>
      <c r="J5" s="3"/>
    </row>
    <row r="6" spans="1:10" x14ac:dyDescent="0.25">
      <c r="A6" s="5"/>
      <c r="B6" s="9"/>
      <c r="C6" s="9"/>
      <c r="D6" s="4"/>
      <c r="E6" s="3"/>
      <c r="F6" s="4"/>
      <c r="G6" s="3"/>
      <c r="H6" s="3"/>
      <c r="I6" s="3"/>
      <c r="J6" s="3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4"/>
    </row>
    <row r="8" spans="1:10" x14ac:dyDescent="0.25">
      <c r="A8" s="7" t="s">
        <v>24</v>
      </c>
      <c r="B8" s="3"/>
      <c r="C8" s="3"/>
      <c r="D8" s="4">
        <f>D5/100*20</f>
        <v>22923.974292999996</v>
      </c>
      <c r="E8" s="3"/>
      <c r="F8" s="4"/>
      <c r="G8" s="3"/>
      <c r="H8" s="3"/>
      <c r="I8" s="3"/>
      <c r="J8" s="3"/>
    </row>
    <row r="9" spans="1:10" x14ac:dyDescent="0.25">
      <c r="A9" t="s">
        <v>8</v>
      </c>
      <c r="B9" s="3"/>
      <c r="C9" s="3"/>
      <c r="D9" s="4">
        <f>D5/100*80</f>
        <v>91695.897171999983</v>
      </c>
      <c r="E9" s="3"/>
      <c r="F9" s="4">
        <f>F5</f>
        <v>43488.740558999998</v>
      </c>
      <c r="G9" s="3"/>
      <c r="H9" s="3"/>
      <c r="I9" s="3"/>
      <c r="J9" s="3"/>
    </row>
    <row r="10" spans="1:10" x14ac:dyDescent="0.25">
      <c r="B10" s="3"/>
      <c r="C10" s="3"/>
      <c r="D10" s="4"/>
      <c r="E10" s="3"/>
      <c r="F10" s="4"/>
      <c r="G10" s="3"/>
      <c r="H10" s="3"/>
      <c r="I10" s="3"/>
      <c r="J10" s="3"/>
    </row>
    <row r="11" spans="1:10" x14ac:dyDescent="0.25">
      <c r="B11" s="3"/>
      <c r="C11" s="3"/>
      <c r="D11" s="4"/>
      <c r="E11" s="3"/>
      <c r="F11" s="4"/>
      <c r="G11" s="3"/>
      <c r="H11" s="3" t="s">
        <v>48</v>
      </c>
      <c r="I11" s="3" t="s">
        <v>9</v>
      </c>
      <c r="J11" s="3"/>
    </row>
    <row r="12" spans="1:10" x14ac:dyDescent="0.25">
      <c r="A12" t="s">
        <v>5</v>
      </c>
      <c r="B12" s="3"/>
      <c r="C12" s="3"/>
      <c r="D12" s="4">
        <f>D9/100*E12</f>
        <v>22850.617575262397</v>
      </c>
      <c r="E12" s="3">
        <v>24.92</v>
      </c>
      <c r="F12" s="4">
        <f>F5/100*G12</f>
        <v>10519.926341222099</v>
      </c>
      <c r="G12" s="3">
        <v>24.19</v>
      </c>
      <c r="H12" s="3">
        <v>3621.79</v>
      </c>
      <c r="I12" s="4">
        <f>D12+F12+H12</f>
        <v>36992.333916484495</v>
      </c>
      <c r="J12" s="3"/>
    </row>
    <row r="13" spans="1:10" x14ac:dyDescent="0.25">
      <c r="A13" t="s">
        <v>6</v>
      </c>
      <c r="B13" s="3"/>
      <c r="C13" s="3"/>
      <c r="D13" s="4">
        <f>D9/100*E13</f>
        <v>39355.879066222391</v>
      </c>
      <c r="E13" s="3">
        <v>42.92</v>
      </c>
      <c r="F13" s="4">
        <f>F9/100*G13</f>
        <v>18669.7163219787</v>
      </c>
      <c r="G13" s="3">
        <v>42.93</v>
      </c>
      <c r="H13" s="3"/>
      <c r="I13" s="3"/>
      <c r="J13" s="3"/>
    </row>
    <row r="14" spans="1:10" x14ac:dyDescent="0.25">
      <c r="A14" t="s">
        <v>7</v>
      </c>
      <c r="B14" s="3"/>
      <c r="C14" s="3"/>
      <c r="D14" s="4">
        <f>D9/100*E14</f>
        <v>29489.400530515191</v>
      </c>
      <c r="E14" s="3">
        <v>32.159999999999997</v>
      </c>
      <c r="F14" s="4">
        <f>F5/100*G14</f>
        <v>14299.097895799199</v>
      </c>
      <c r="G14" s="3">
        <v>32.880000000000003</v>
      </c>
      <c r="H14" s="3">
        <v>4748.79</v>
      </c>
      <c r="I14" s="4">
        <f>D14+F14+H14</f>
        <v>48537.288426314393</v>
      </c>
      <c r="J14" s="3"/>
    </row>
    <row r="15" spans="1:10" x14ac:dyDescent="0.25">
      <c r="A15" t="s">
        <v>32</v>
      </c>
      <c r="B15" s="3"/>
      <c r="C15" s="3"/>
      <c r="D15" s="4">
        <f>SUM(D12:D14)</f>
        <v>91695.897171999983</v>
      </c>
      <c r="E15" s="3"/>
      <c r="F15" s="4">
        <f>SUM(F12:F14)</f>
        <v>43488.740558999998</v>
      </c>
      <c r="G15" s="3">
        <f>SUM(G12:G14)</f>
        <v>100</v>
      </c>
      <c r="H15" s="3">
        <f>SUM(H12:H14)</f>
        <v>8370.58</v>
      </c>
      <c r="I15" s="3">
        <f>SUM(I12:I14)</f>
        <v>85529.622342798888</v>
      </c>
      <c r="J15" s="3"/>
    </row>
    <row r="16" spans="1:10" x14ac:dyDescent="0.25">
      <c r="B16" s="3"/>
      <c r="C16" s="3"/>
      <c r="D16" s="4"/>
      <c r="E16" s="3"/>
      <c r="F16" s="4"/>
      <c r="G16" s="3"/>
      <c r="H16" s="3"/>
      <c r="I16" s="3"/>
      <c r="J16" s="3"/>
    </row>
    <row r="17" spans="1:13" x14ac:dyDescent="0.25">
      <c r="A17" t="s">
        <v>51</v>
      </c>
      <c r="B17" s="3"/>
      <c r="C17" s="3"/>
      <c r="D17" s="4">
        <f>B5+D8+(D13/100*70)-H15</f>
        <v>127481.59370435566</v>
      </c>
      <c r="E17" s="3"/>
      <c r="F17" s="4"/>
      <c r="G17" s="3"/>
      <c r="H17" s="3"/>
      <c r="I17" s="3"/>
      <c r="J17" s="3"/>
    </row>
    <row r="18" spans="1:13" x14ac:dyDescent="0.25">
      <c r="A18" t="s">
        <v>52</v>
      </c>
      <c r="B18" s="3"/>
      <c r="C18" s="3"/>
      <c r="D18" s="4">
        <f>(D13/100*30)+F13</f>
        <v>30476.480041845418</v>
      </c>
      <c r="E18" s="3"/>
      <c r="F18" s="4"/>
      <c r="G18" s="3"/>
      <c r="H18" s="3"/>
      <c r="I18" s="3"/>
      <c r="J18" s="3"/>
    </row>
    <row r="19" spans="1:13" x14ac:dyDescent="0.25">
      <c r="D19" s="8"/>
      <c r="F19" s="8"/>
    </row>
    <row r="20" spans="1:13" x14ac:dyDescent="0.25">
      <c r="A20" t="s">
        <v>31</v>
      </c>
      <c r="B20" s="4">
        <f>B5+D8+D13+F13</f>
        <v>166328.65374620107</v>
      </c>
      <c r="D20" s="4">
        <f>SUM(D17:D18)</f>
        <v>157958.07374620109</v>
      </c>
      <c r="F20" s="8"/>
      <c r="I20" s="3">
        <f>D20+I15</f>
        <v>243487.69608899998</v>
      </c>
    </row>
    <row r="22" spans="1:13" x14ac:dyDescent="0.25">
      <c r="A22" t="s">
        <v>33</v>
      </c>
    </row>
    <row r="23" spans="1:13" ht="15.75" thickBot="1" x14ac:dyDescent="0.3">
      <c r="A23" t="s">
        <v>34</v>
      </c>
      <c r="B23" t="s">
        <v>35</v>
      </c>
      <c r="C23" t="s">
        <v>36</v>
      </c>
      <c r="D23" t="s">
        <v>37</v>
      </c>
      <c r="E23" t="s">
        <v>38</v>
      </c>
      <c r="F23" t="s">
        <v>43</v>
      </c>
      <c r="G23" t="s">
        <v>44</v>
      </c>
      <c r="I23" t="s">
        <v>39</v>
      </c>
      <c r="J23" t="s">
        <v>40</v>
      </c>
      <c r="K23" s="11" t="s">
        <v>41</v>
      </c>
    </row>
    <row r="24" spans="1:13" x14ac:dyDescent="0.25">
      <c r="A24" s="12">
        <v>45292</v>
      </c>
      <c r="B24" s="13">
        <v>45330</v>
      </c>
      <c r="C24" s="14">
        <v>2016</v>
      </c>
      <c r="D24" s="14">
        <v>4621.4399999999996</v>
      </c>
      <c r="E24" s="14">
        <v>8184.63</v>
      </c>
      <c r="F24" s="14"/>
      <c r="G24" s="14">
        <f>E24+D24</f>
        <v>12806.07</v>
      </c>
      <c r="H24" s="14"/>
      <c r="I24" s="24">
        <f>G24*1.21</f>
        <v>15495.3447</v>
      </c>
      <c r="J24" s="14">
        <f>I24/C24</f>
        <v>7.6861828869047617</v>
      </c>
      <c r="K24" s="15" t="s">
        <v>1</v>
      </c>
    </row>
    <row r="25" spans="1:13" x14ac:dyDescent="0.25">
      <c r="A25" s="16">
        <v>45292</v>
      </c>
      <c r="B25" s="17">
        <v>45330</v>
      </c>
      <c r="C25" s="18">
        <v>1652</v>
      </c>
      <c r="D25" s="18">
        <v>3858.46</v>
      </c>
      <c r="E25" s="18">
        <v>6736.9</v>
      </c>
      <c r="F25" s="18"/>
      <c r="G25" s="18">
        <f t="shared" ref="G25:G26" si="0">E25+D25</f>
        <v>10595.36</v>
      </c>
      <c r="H25" s="18"/>
      <c r="I25" s="25">
        <f t="shared" ref="I25:I26" si="1">G25*1.21</f>
        <v>12820.3856</v>
      </c>
      <c r="J25" s="18">
        <f>I25/C25</f>
        <v>7.7605239709443099</v>
      </c>
      <c r="K25" s="19" t="s">
        <v>42</v>
      </c>
    </row>
    <row r="26" spans="1:13" ht="15.75" thickBot="1" x14ac:dyDescent="0.3">
      <c r="A26" s="20">
        <v>45292</v>
      </c>
      <c r="B26" s="21">
        <v>45330</v>
      </c>
      <c r="C26" s="22">
        <v>646</v>
      </c>
      <c r="D26" s="22">
        <v>1749.78</v>
      </c>
      <c r="E26" s="22">
        <v>2735.73</v>
      </c>
      <c r="F26" s="22"/>
      <c r="G26" s="22">
        <f t="shared" si="0"/>
        <v>4485.51</v>
      </c>
      <c r="H26" s="22"/>
      <c r="I26" s="26">
        <f t="shared" si="1"/>
        <v>5427.4670999999998</v>
      </c>
      <c r="J26" s="22">
        <f>I26/C26</f>
        <v>8.4016518575851382</v>
      </c>
      <c r="K26" s="23" t="s">
        <v>0</v>
      </c>
    </row>
    <row r="27" spans="1:13" x14ac:dyDescent="0.25">
      <c r="A27" s="16">
        <v>45331</v>
      </c>
      <c r="B27" s="17">
        <v>45546</v>
      </c>
      <c r="C27" s="18">
        <v>11185</v>
      </c>
      <c r="D27" s="18">
        <v>25648.79</v>
      </c>
      <c r="E27" s="18">
        <v>24289.759999999998</v>
      </c>
      <c r="F27" s="25">
        <f>C27/1000*28.3</f>
        <v>316.53550000000001</v>
      </c>
      <c r="G27" s="25">
        <f>E27+D27+F27</f>
        <v>50255.085500000001</v>
      </c>
      <c r="H27" s="25"/>
      <c r="I27" s="25">
        <f>G27*1.21</f>
        <v>60808.653455</v>
      </c>
      <c r="J27" s="18">
        <f>I27/C27</f>
        <v>5.4366252530174339</v>
      </c>
      <c r="K27" s="19" t="s">
        <v>1</v>
      </c>
    </row>
    <row r="28" spans="1:13" x14ac:dyDescent="0.25">
      <c r="A28" s="16">
        <v>45331</v>
      </c>
      <c r="B28" s="17">
        <v>45546</v>
      </c>
      <c r="C28" s="28">
        <v>7770</v>
      </c>
      <c r="D28" s="28">
        <v>18490.59</v>
      </c>
      <c r="E28" s="28">
        <v>17089.349999999999</v>
      </c>
      <c r="F28" s="25">
        <f t="shared" ref="F28:F29" si="2">C28/1000*28.3</f>
        <v>219.89099999999999</v>
      </c>
      <c r="G28" s="25">
        <f t="shared" ref="G28:G29" si="3">E28+D28+F28</f>
        <v>35799.831000000006</v>
      </c>
      <c r="H28" s="25"/>
      <c r="I28" s="25">
        <f>G28*1.21</f>
        <v>43317.795510000004</v>
      </c>
      <c r="J28" s="18">
        <f>I28/C28</f>
        <v>5.575005857142858</v>
      </c>
      <c r="K28" s="19" t="s">
        <v>42</v>
      </c>
    </row>
    <row r="29" spans="1:13" ht="15.75" thickBot="1" x14ac:dyDescent="0.3">
      <c r="A29" s="16">
        <v>45331</v>
      </c>
      <c r="B29" s="17">
        <v>45546</v>
      </c>
      <c r="C29" s="28">
        <v>3754</v>
      </c>
      <c r="D29" s="28">
        <v>10072.65</v>
      </c>
      <c r="E29" s="28">
        <v>8623.24</v>
      </c>
      <c r="F29" s="25">
        <f t="shared" si="2"/>
        <v>106.23820000000001</v>
      </c>
      <c r="G29" s="25">
        <f t="shared" si="3"/>
        <v>18802.128199999999</v>
      </c>
      <c r="H29" s="25"/>
      <c r="I29" s="25">
        <f>G29*1.21</f>
        <v>22750.575121999998</v>
      </c>
      <c r="J29" s="18">
        <f>I29/C29</f>
        <v>6.0603556531699514</v>
      </c>
      <c r="K29" s="19" t="s">
        <v>0</v>
      </c>
    </row>
    <row r="30" spans="1:13" x14ac:dyDescent="0.25">
      <c r="A30" s="12">
        <v>45547</v>
      </c>
      <c r="B30" s="13">
        <v>45657</v>
      </c>
      <c r="C30" s="14">
        <v>5570</v>
      </c>
      <c r="D30" s="14">
        <v>12815.97</v>
      </c>
      <c r="E30" s="14">
        <v>18692.41</v>
      </c>
      <c r="F30" s="24">
        <f>C30/1000*28.3</f>
        <v>157.631</v>
      </c>
      <c r="G30" s="24">
        <f>D30+E30+F30</f>
        <v>31666.010999999999</v>
      </c>
      <c r="H30" s="24"/>
      <c r="I30" s="24">
        <f>G30*1.21</f>
        <v>38315.873309999995</v>
      </c>
      <c r="J30" s="14">
        <f>I30/C30</f>
        <v>6.8789718689407531</v>
      </c>
      <c r="K30" s="15" t="s">
        <v>1</v>
      </c>
    </row>
    <row r="31" spans="1:13" x14ac:dyDescent="0.25">
      <c r="A31" s="16">
        <v>45547</v>
      </c>
      <c r="B31" s="17">
        <v>45657</v>
      </c>
      <c r="C31" s="28">
        <v>4185</v>
      </c>
      <c r="D31" s="28">
        <v>9912.8700000000008</v>
      </c>
      <c r="E31" s="28">
        <v>14134.73</v>
      </c>
      <c r="F31" s="25">
        <f>C31/1000*28.3</f>
        <v>118.43549999999999</v>
      </c>
      <c r="G31" s="25">
        <f>D31+E31+F31</f>
        <v>24166.035499999998</v>
      </c>
      <c r="H31" s="25"/>
      <c r="I31" s="25">
        <f>G31*1.21</f>
        <v>29240.902954999998</v>
      </c>
      <c r="J31" s="28">
        <f>I31/C31</f>
        <v>6.9870735854241337</v>
      </c>
      <c r="K31" s="19" t="s">
        <v>42</v>
      </c>
      <c r="L31" s="3"/>
    </row>
    <row r="32" spans="1:13" ht="15.75" thickBot="1" x14ac:dyDescent="0.3">
      <c r="A32" s="20">
        <v>45547</v>
      </c>
      <c r="B32" s="21">
        <v>45657</v>
      </c>
      <c r="C32" s="22">
        <v>2059</v>
      </c>
      <c r="D32" s="22">
        <v>5456.57</v>
      </c>
      <c r="E32" s="22">
        <v>7138.63</v>
      </c>
      <c r="F32" s="26">
        <f>C32/1000*28.3</f>
        <v>58.269700000000007</v>
      </c>
      <c r="G32" s="26">
        <f>D32+E32+F32</f>
        <v>12653.469700000001</v>
      </c>
      <c r="H32" s="26"/>
      <c r="I32" s="26">
        <f>G32*1.21</f>
        <v>15310.698337000002</v>
      </c>
      <c r="J32" s="22">
        <f>I32/C32</f>
        <v>7.4359875361826138</v>
      </c>
      <c r="K32" s="23" t="s">
        <v>0</v>
      </c>
      <c r="M32" s="3">
        <f>SUM(I24:I32)</f>
        <v>243487.696089</v>
      </c>
    </row>
    <row r="33" spans="1:11" x14ac:dyDescent="0.25">
      <c r="A33" s="17"/>
      <c r="B33" s="17"/>
      <c r="C33" s="18"/>
      <c r="D33" s="18"/>
      <c r="E33" s="18"/>
      <c r="F33" s="25"/>
      <c r="G33" s="25"/>
      <c r="H33" s="25"/>
      <c r="I33" s="25"/>
      <c r="J33" s="18"/>
      <c r="K33" s="27"/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2E19-A63A-49DD-A4CD-08582B456F27}">
  <dimension ref="A1:H8"/>
  <sheetViews>
    <sheetView workbookViewId="0">
      <selection activeCell="B16" sqref="B16"/>
    </sheetView>
  </sheetViews>
  <sheetFormatPr defaultRowHeight="15" x14ac:dyDescent="0.25"/>
  <cols>
    <col min="1" max="1" width="10.140625" bestFit="1" customWidth="1"/>
    <col min="2" max="2" width="25.7109375" bestFit="1" customWidth="1"/>
    <col min="3" max="3" width="22.28515625" bestFit="1" customWidth="1"/>
    <col min="4" max="4" width="10.140625" style="3" bestFit="1" customWidth="1"/>
    <col min="6" max="6" width="12.85546875" bestFit="1" customWidth="1"/>
    <col min="7" max="7" width="26.140625" bestFit="1" customWidth="1"/>
    <col min="8" max="8" width="42.140625" bestFit="1" customWidth="1"/>
  </cols>
  <sheetData>
    <row r="1" spans="1:8" x14ac:dyDescent="0.25">
      <c r="B1" t="s">
        <v>21</v>
      </c>
      <c r="C1" t="s">
        <v>22</v>
      </c>
      <c r="F1" t="s">
        <v>18</v>
      </c>
      <c r="G1" t="s">
        <v>19</v>
      </c>
      <c r="H1" t="s">
        <v>23</v>
      </c>
    </row>
    <row r="2" spans="1:8" x14ac:dyDescent="0.25">
      <c r="A2" s="6">
        <v>44927</v>
      </c>
      <c r="B2" s="3"/>
      <c r="C2" s="3"/>
      <c r="E2" s="3"/>
      <c r="F2" s="3"/>
      <c r="G2" s="3"/>
    </row>
    <row r="3" spans="1:8" x14ac:dyDescent="0.25">
      <c r="A3" s="6">
        <v>45180</v>
      </c>
      <c r="B3" s="3"/>
      <c r="C3" s="3"/>
      <c r="D3" s="3">
        <v>74510.539999999994</v>
      </c>
      <c r="E3" s="3"/>
      <c r="F3" s="3"/>
      <c r="G3" s="3"/>
    </row>
    <row r="4" spans="1:8" x14ac:dyDescent="0.25">
      <c r="A4" s="6">
        <v>45291</v>
      </c>
      <c r="B4" s="3">
        <v>6662.64</v>
      </c>
      <c r="C4" s="3">
        <v>20494.59</v>
      </c>
      <c r="D4" s="3">
        <f>(B4+C4)*1.21</f>
        <v>32860.248299999999</v>
      </c>
      <c r="E4" s="3"/>
      <c r="F4" s="3">
        <f>D3+D4</f>
        <v>107370.78829999999</v>
      </c>
      <c r="G4" s="3">
        <f>F4+'2023'!I13</f>
        <v>138771.95229999998</v>
      </c>
      <c r="H4" s="3">
        <f>F4+'2023'!I13+'2023'!D13</f>
        <v>192681.47065519998</v>
      </c>
    </row>
    <row r="5" spans="1:8" x14ac:dyDescent="0.25">
      <c r="A5" s="6">
        <v>45330</v>
      </c>
      <c r="B5" s="3">
        <v>3858.46</v>
      </c>
      <c r="C5" s="3">
        <v>6736.9</v>
      </c>
      <c r="D5" s="3">
        <f>(B5+C5)*1.21</f>
        <v>12820.3856</v>
      </c>
      <c r="E5" s="3"/>
      <c r="F5" s="3"/>
      <c r="G5" s="3"/>
    </row>
    <row r="8" spans="1:8" x14ac:dyDescent="0.25">
      <c r="E8" s="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CA4B-8F13-4884-82A9-507B5981F5EA}">
  <dimension ref="A1:F7"/>
  <sheetViews>
    <sheetView workbookViewId="0">
      <selection activeCell="E5" sqref="E5"/>
    </sheetView>
  </sheetViews>
  <sheetFormatPr defaultRowHeight="15" x14ac:dyDescent="0.25"/>
  <cols>
    <col min="1" max="1" width="10.140625" bestFit="1" customWidth="1"/>
    <col min="5" max="5" width="14.7109375" bestFit="1" customWidth="1"/>
    <col min="6" max="6" width="9.5703125" bestFit="1" customWidth="1"/>
  </cols>
  <sheetData>
    <row r="1" spans="1:6" x14ac:dyDescent="0.25">
      <c r="E1" t="s">
        <v>20</v>
      </c>
    </row>
    <row r="2" spans="1:6" x14ac:dyDescent="0.25">
      <c r="A2" s="6">
        <v>44927</v>
      </c>
    </row>
    <row r="3" spans="1:6" x14ac:dyDescent="0.25">
      <c r="A3" s="6">
        <v>45180</v>
      </c>
      <c r="B3">
        <f>A3-A2</f>
        <v>253</v>
      </c>
      <c r="C3">
        <v>39766.74</v>
      </c>
    </row>
    <row r="4" spans="1:6" x14ac:dyDescent="0.25">
      <c r="A4" s="6">
        <v>45181</v>
      </c>
    </row>
    <row r="5" spans="1:6" x14ac:dyDescent="0.25">
      <c r="A5" s="6">
        <v>45291</v>
      </c>
      <c r="B5">
        <f>A5-A4</f>
        <v>110</v>
      </c>
      <c r="D5">
        <f>C6/B7*B5</f>
        <v>16414.458389261745</v>
      </c>
      <c r="E5">
        <f>D5+C3</f>
        <v>56181.198389261743</v>
      </c>
      <c r="F5" s="3">
        <f>E5+'2023'!I13</f>
        <v>87582.362389261732</v>
      </c>
    </row>
    <row r="6" spans="1:6" x14ac:dyDescent="0.25">
      <c r="A6" s="6">
        <v>45330</v>
      </c>
      <c r="B6">
        <f>A6-A5</f>
        <v>39</v>
      </c>
      <c r="C6">
        <v>22234.13</v>
      </c>
      <c r="D6">
        <f>C6/B7*B6</f>
        <v>5819.6716107382554</v>
      </c>
    </row>
    <row r="7" spans="1:6" x14ac:dyDescent="0.25">
      <c r="B7">
        <f>B5+B6</f>
        <v>149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Dum B</vt:lpstr>
      <vt:lpstr>Garaze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Pavel Zaumuller</cp:lastModifiedBy>
  <dcterms:created xsi:type="dcterms:W3CDTF">2023-01-15T16:12:21Z</dcterms:created>
  <dcterms:modified xsi:type="dcterms:W3CDTF">2025-02-02T17:15:47Z</dcterms:modified>
</cp:coreProperties>
</file>